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630" activeTab="0"/>
  </bookViews>
  <sheets>
    <sheet name="A" sheetId="1" r:id="rId1"/>
  </sheets>
  <definedNames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<sst xmlns="http://schemas.openxmlformats.org/spreadsheetml/2006/main" count="72" uniqueCount="71">
  <si>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 </t>
  </si>
  <si>
    <t xml:space="preserve">     ((Codes 7016+7040+7060) / Gross Tithe)</t>
  </si>
  <si>
    <t xml:space="preserve">     ((Current Net Assets - Prior Net Assets at Year-end) / </t>
  </si>
  <si>
    <t xml:space="preserve">     ((Total Expenses - Budgeted Expenses) / Budgeted</t>
  </si>
  <si>
    <t xml:space="preserve">     ((Total Income - Budgeted Income) / Budgeted Income)</t>
  </si>
  <si>
    <t xml:space="preserve">     (Cash / Expenses per Day)</t>
  </si>
  <si>
    <t xml:space="preserve">     (Current Assets / Current Liabilities)</t>
  </si>
  <si>
    <t xml:space="preserve">     (Incr (Decr) in Net Assets / Total Income)</t>
  </si>
  <si>
    <t xml:space="preserve">     (Liabilities / Assets)</t>
  </si>
  <si>
    <t xml:space="preserve">     (New Software:  Total Travel + A/c #811300 Area Travel)</t>
  </si>
  <si>
    <t xml:space="preserve">     (Object Codes 7000 - 7096 + Medical Costs)</t>
  </si>
  <si>
    <t xml:space="preserve">     (Program Expenses / Unrestricted Income)</t>
  </si>
  <si>
    <t xml:space="preserve">     (Support Expenses / Unrestricted Income)</t>
  </si>
  <si>
    <t xml:space="preserve">     (Tithe Income Current - Prior Year) / Prior Year)</t>
  </si>
  <si>
    <t xml:space="preserve">     (Total Expense / Number of Days - 181 days)</t>
  </si>
  <si>
    <t xml:space="preserve">     / Gross Tithe)  **DB Retirement not included</t>
  </si>
  <si>
    <t xml:space="preserve">     Expenses)</t>
  </si>
  <si>
    <t xml:space="preserve">     Prior Net Assets at Year-end)</t>
  </si>
  <si>
    <t>2.432 : 1</t>
  </si>
  <si>
    <t>2.556 : 1</t>
  </si>
  <si>
    <t>2.804 : 1</t>
  </si>
  <si>
    <t>2.806 : 1</t>
  </si>
  <si>
    <t>adequate financial resources will be</t>
  </si>
  <si>
    <t>available for the sound and effective</t>
  </si>
  <si>
    <t>BOTTOM LINE - INCR (DECR) IN NET ASSETS</t>
  </si>
  <si>
    <t>Compares fund balance changes from</t>
  </si>
  <si>
    <t>Current Ratio:</t>
  </si>
  <si>
    <t>DEBT RATIO</t>
  </si>
  <si>
    <t>Expenses per Day</t>
  </si>
  <si>
    <t>Financial Indicators</t>
  </si>
  <si>
    <t>formula with the intent to measure that</t>
  </si>
  <si>
    <t>Functions:</t>
  </si>
  <si>
    <t>Gross Tithe:</t>
  </si>
  <si>
    <t>Jun 2006</t>
  </si>
  <si>
    <t>Jun 2007</t>
  </si>
  <si>
    <t>Jun 2008</t>
  </si>
  <si>
    <t>Jun 2009</t>
  </si>
  <si>
    <t>Jun 2010</t>
  </si>
  <si>
    <t>June</t>
  </si>
  <si>
    <t>liabilities</t>
  </si>
  <si>
    <t>liabilities (obligations) with current assets</t>
  </si>
  <si>
    <t>LIQUIDITY RATIOS</t>
  </si>
  <si>
    <t>Measures ability to cover current</t>
  </si>
  <si>
    <t>Measures encumbrances of assets to</t>
  </si>
  <si>
    <t>Measures length of time entity could</t>
  </si>
  <si>
    <t>NAD Working Policy P 75, defines the</t>
  </si>
  <si>
    <t>North Pacific Union Conference</t>
  </si>
  <si>
    <t>NPUC Tithe Income (Net Retained)</t>
  </si>
  <si>
    <t>Number of Days Cash Available for Expenses:</t>
  </si>
  <si>
    <t>operate if income ceases.</t>
  </si>
  <si>
    <t>Operating Income</t>
  </si>
  <si>
    <t>OPERATING RATIOS</t>
  </si>
  <si>
    <t>operation of the organization.</t>
  </si>
  <si>
    <t>Percent of Expenses to Budget</t>
  </si>
  <si>
    <t>Percent of Fund Balance Change from Year-end:</t>
  </si>
  <si>
    <t>Percent of Income to Budget</t>
  </si>
  <si>
    <t>Percent of Liabilities to Assets:</t>
  </si>
  <si>
    <t xml:space="preserve">Percent of Operating Gain or (Loss) to Total </t>
  </si>
  <si>
    <t>Percent of Operating Income Used for Program</t>
  </si>
  <si>
    <t>Percent of Operating Income Used for Support</t>
  </si>
  <si>
    <t xml:space="preserve">Percent of Salary, Allowances &amp; Travel to Union </t>
  </si>
  <si>
    <t>Percent of Travel to Union Gross Tithe:</t>
  </si>
  <si>
    <t>prior year-end</t>
  </si>
  <si>
    <t>Working Capital Ratio</t>
  </si>
  <si>
    <t>Formula:  AASI Software Statement Schedlue</t>
  </si>
  <si>
    <t xml:space="preserve">less DB Retirement add Area Travel (#811300) and </t>
  </si>
  <si>
    <t>Spouse Travel (#822330), then divide total by</t>
  </si>
  <si>
    <t>Gross Tithe</t>
  </si>
  <si>
    <t>AASI Statement Schedule for Travel plus add Area</t>
  </si>
  <si>
    <t xml:space="preserve">Travel (#811300) and Spouse Travel (#822330) </t>
  </si>
  <si>
    <t>divide by Gross Tithe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</si>
</sst>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31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18"/>
      <name val="Calibri"/>
      <family val="2"/>
    </font>
    <font>
      <sz val="11"/>
      <color indexed="63"/>
      <name val="Calibri"/>
      <family val="2"/>
    </font>
    <font>
      <i/>
      <sz val="11"/>
      <color indexed="31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4" fontId="0" fillId="0" borderId="0" xfId="42">
      <alignment/>
      <protection/>
    </xf>
    <xf numFmtId="165" fontId="0" fillId="0" borderId="0" xfId="45">
      <alignment/>
      <protection/>
    </xf>
    <xf numFmtId="10" fontId="0" fillId="0" borderId="0" xfId="59">
      <alignment/>
      <protection/>
    </xf>
    <xf numFmtId="0" fontId="0" fillId="0" borderId="0" xfId="42" applyNumberFormat="1">
      <alignment/>
      <protection/>
    </xf>
    <xf numFmtId="0" fontId="0" fillId="0" borderId="0" xfId="59" applyNumberFormat="1">
      <alignment/>
      <protection/>
    </xf>
    <xf numFmtId="10" fontId="0" fillId="0" borderId="0" xfId="59" applyAlignment="1">
      <alignment horizontal="right"/>
      <protection/>
    </xf>
    <xf numFmtId="0" fontId="0" fillId="0" borderId="0" xfId="0" applyAlignment="1">
      <alignment horizontal="centerContinuous"/>
    </xf>
    <xf numFmtId="4" fontId="0" fillId="0" borderId="0" xfId="42" applyAlignment="1">
      <alignment horizontal="right"/>
      <protection/>
    </xf>
    <xf numFmtId="0" fontId="0" fillId="0" borderId="0" xfId="59" applyNumberFormat="1" applyAlignment="1">
      <alignment horizontal="right"/>
      <protection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3" fontId="3" fillId="33" borderId="0" xfId="43" applyFont="1" applyFill="1">
      <alignment/>
      <protection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C1C1"/>
      <rgbColor rgb="00C4C4C4"/>
      <rgbColor rgb="00000000"/>
      <rgbColor rgb="0000FF00"/>
      <rgbColor rgb="000000FF"/>
      <rgbColor rgb="00FFFF00"/>
      <rgbColor rgb="00800080"/>
      <rgbColor rgb="00008000"/>
      <rgbColor rgb="00D6D6D6"/>
      <rgbColor rgb="00800000"/>
      <rgbColor rgb="00FFFFFF"/>
      <rgbColor rgb="00B0B0FF"/>
      <rgbColor rgb="00C890FF"/>
      <rgbColor rgb="000080FF"/>
      <rgbColor rgb="00A0D0FF"/>
      <rgbColor rgb="00B0FFFF"/>
      <rgbColor rgb="0070FFFF"/>
      <rgbColor rgb="00B0FFB0"/>
      <rgbColor rgb="00FFFF90"/>
      <rgbColor rgb="00FFCC00"/>
      <rgbColor rgb="00FFB0B0"/>
      <rgbColor rgb="00FF6000"/>
      <rgbColor rgb="00500050"/>
      <rgbColor rgb="0090909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125" zoomScaleNormal="125" zoomScalePageLayoutView="0" workbookViewId="0" topLeftCell="A43">
      <selection activeCell="L63" sqref="L63"/>
    </sheetView>
  </sheetViews>
  <sheetFormatPr defaultColWidth="11.421875" defaultRowHeight="12.75"/>
  <cols>
    <col min="1" max="1" width="49.28125" style="0" customWidth="1"/>
    <col min="2" max="2" width="15.00390625" style="0" customWidth="1"/>
    <col min="3" max="3" width="14.57421875" style="0" customWidth="1"/>
    <col min="4" max="4" width="15.00390625" style="0" customWidth="1"/>
    <col min="5" max="5" width="11.00390625" style="0" customWidth="1"/>
    <col min="6" max="6" width="11.00390625" style="4" customWidth="1"/>
    <col min="7" max="7" width="1.8515625" style="0" customWidth="1"/>
  </cols>
  <sheetData>
    <row r="1" spans="1:10" ht="15.75">
      <c r="A1" s="3" t="s">
        <v>46</v>
      </c>
      <c r="B1" s="3"/>
      <c r="C1" s="3"/>
      <c r="D1" s="3"/>
      <c r="E1" s="3"/>
      <c r="F1" s="11"/>
      <c r="G1" s="3"/>
      <c r="H1" s="3"/>
      <c r="I1" s="3"/>
      <c r="J1" s="3"/>
    </row>
    <row r="2" spans="1:10" ht="15.75">
      <c r="A2" s="3" t="s">
        <v>29</v>
      </c>
      <c r="B2" s="3"/>
      <c r="C2" s="3"/>
      <c r="D2" s="3"/>
      <c r="E2" s="3"/>
      <c r="F2" s="11"/>
      <c r="G2" s="3"/>
      <c r="H2" s="3"/>
      <c r="I2" s="3"/>
      <c r="J2" s="3"/>
    </row>
    <row r="3" spans="1:10" ht="15.75">
      <c r="A3" s="3" t="s">
        <v>38</v>
      </c>
      <c r="B3" s="3"/>
      <c r="C3" s="3"/>
      <c r="D3" s="3"/>
      <c r="E3" s="3"/>
      <c r="F3" s="11"/>
      <c r="G3" s="3"/>
      <c r="H3" s="3"/>
      <c r="I3" s="3"/>
      <c r="J3" s="3"/>
    </row>
    <row r="6" spans="2:6" ht="12.75">
      <c r="B6" s="2" t="s">
        <v>37</v>
      </c>
      <c r="C6" s="2" t="s">
        <v>36</v>
      </c>
      <c r="D6" s="2" t="s">
        <v>35</v>
      </c>
      <c r="E6" s="2" t="s">
        <v>34</v>
      </c>
      <c r="F6" s="2" t="s">
        <v>33</v>
      </c>
    </row>
    <row r="8" ht="12.75">
      <c r="A8" s="1" t="s">
        <v>41</v>
      </c>
    </row>
    <row r="10" spans="1:8" ht="12.75">
      <c r="A10" t="s">
        <v>26</v>
      </c>
      <c r="B10" s="4"/>
      <c r="C10" s="4"/>
      <c r="D10" s="4"/>
      <c r="E10" s="4"/>
      <c r="H10" t="s">
        <v>42</v>
      </c>
    </row>
    <row r="11" spans="1:8" ht="12.75">
      <c r="A11" t="s">
        <v>6</v>
      </c>
      <c r="B11" s="4"/>
      <c r="C11" s="4" t="s">
        <v>20</v>
      </c>
      <c r="D11" s="4" t="s">
        <v>21</v>
      </c>
      <c r="E11" s="4" t="s">
        <v>19</v>
      </c>
      <c r="F11" s="4" t="s">
        <v>18</v>
      </c>
      <c r="H11" t="s">
        <v>40</v>
      </c>
    </row>
    <row r="12" ht="12.75">
      <c r="B12" s="4"/>
    </row>
    <row r="14" spans="1:8" ht="12.75">
      <c r="A14" t="s">
        <v>28</v>
      </c>
      <c r="H14" t="s">
        <v>44</v>
      </c>
    </row>
    <row r="15" spans="1:8" ht="12.75">
      <c r="A15" t="s">
        <v>14</v>
      </c>
      <c r="B15" s="6"/>
      <c r="C15" s="6">
        <f>8064883.61/181</f>
        <v>44557.36801104972</v>
      </c>
      <c r="D15" s="6">
        <f>8024922.46/181</f>
        <v>44336.58817679558</v>
      </c>
      <c r="E15" s="6">
        <f>7832219.25/181</f>
        <v>43271.92955801105</v>
      </c>
      <c r="F15" s="6">
        <f>7715145.34/181</f>
        <v>42625.11237569061</v>
      </c>
      <c r="H15" t="s">
        <v>49</v>
      </c>
    </row>
    <row r="18" ht="12.75">
      <c r="A18" t="s">
        <v>48</v>
      </c>
    </row>
    <row r="19" spans="1:6" ht="12.75">
      <c r="A19" t="s">
        <v>5</v>
      </c>
      <c r="B19" s="14"/>
      <c r="C19" s="5">
        <f>(2590937.17+1440245.4)/C15</f>
        <v>90.47173901744628</v>
      </c>
      <c r="D19" s="5">
        <f>(2152775.25+1617676.73)/D15</f>
        <v>85.04154548304508</v>
      </c>
      <c r="E19" s="5">
        <f>(2052666.64+1793378.75)/E15</f>
        <v>88.88083867034238</v>
      </c>
      <c r="F19" s="12">
        <f>(1693876.21+1378462.9)/F15</f>
        <v>72.07814686612242</v>
      </c>
    </row>
    <row r="20" spans="2:5" ht="12.75">
      <c r="B20" s="8"/>
      <c r="C20" s="8"/>
      <c r="D20" s="8"/>
      <c r="E20" s="8"/>
    </row>
    <row r="22" spans="1:8" ht="12.75">
      <c r="A22" t="s">
        <v>63</v>
      </c>
      <c r="B22" s="7"/>
      <c r="C22" s="7">
        <v>0.7016</v>
      </c>
      <c r="D22" s="7">
        <v>0.7442000000000001</v>
      </c>
      <c r="E22" s="7">
        <v>0.6495000000000001</v>
      </c>
      <c r="F22" s="10">
        <v>0.6484</v>
      </c>
      <c r="H22" t="s">
        <v>45</v>
      </c>
    </row>
    <row r="23" spans="2:8" ht="12.75">
      <c r="B23" s="7"/>
      <c r="C23" s="7"/>
      <c r="D23" s="7"/>
      <c r="E23" s="7"/>
      <c r="F23" s="10"/>
      <c r="H23" t="s">
        <v>30</v>
      </c>
    </row>
    <row r="24" ht="12.75">
      <c r="H24" t="s">
        <v>22</v>
      </c>
    </row>
    <row r="25" ht="12.75">
      <c r="H25" t="s">
        <v>23</v>
      </c>
    </row>
    <row r="26" ht="12.75">
      <c r="H26" t="s">
        <v>52</v>
      </c>
    </row>
    <row r="28" ht="12.75">
      <c r="A28" s="1" t="s">
        <v>51</v>
      </c>
    </row>
    <row r="30" ht="12.75">
      <c r="A30" t="s">
        <v>47</v>
      </c>
    </row>
    <row r="31" spans="1:6" ht="12.75">
      <c r="A31" t="s">
        <v>13</v>
      </c>
      <c r="B31" s="7"/>
      <c r="C31" s="7">
        <f>(3162819.28-3214405.29)/3214405.29</f>
        <v>-0.0160483838676111</v>
      </c>
      <c r="D31" s="7">
        <f>(3214405.29-3895056.06)/3895056.06</f>
        <v>-0.1747473616592825</v>
      </c>
      <c r="E31" s="7">
        <f>(3895056.06-3145633.62)/3145633.62</f>
        <v>0.23824212560393473</v>
      </c>
      <c r="F31" s="7">
        <f>(3145633.62-2938976.61)/2938976.61</f>
        <v>0.070315976417383</v>
      </c>
    </row>
    <row r="32" spans="2:5" ht="12.75">
      <c r="B32" s="9"/>
      <c r="C32" s="9"/>
      <c r="D32" s="9"/>
      <c r="E32" s="9"/>
    </row>
    <row r="34" ht="12.75">
      <c r="A34" t="s">
        <v>55</v>
      </c>
    </row>
    <row r="35" spans="1:6" ht="12.75">
      <c r="A35" t="s">
        <v>4</v>
      </c>
      <c r="B35" s="7"/>
      <c r="C35" s="7">
        <f>(3883442.51-4014985+4333288.44-4068882)/(4068882+4014985)</f>
        <v>0.016435692225020664</v>
      </c>
      <c r="D35" s="7">
        <f>(4075406.54-4110183+3731019.52-3928452)/(3928452+4110183)</f>
        <v>-0.028886613212317756</v>
      </c>
      <c r="E35" s="7">
        <f>(4901236.69-4210584+3575973.48-3601572)/(3601572+4210584)</f>
        <v>0.08513068223420013</v>
      </c>
      <c r="F35" s="7">
        <f>(4082314.01-3745623+3382969.9-3304176)/(3304176+3745623)</f>
        <v>0.058935710081947104</v>
      </c>
    </row>
    <row r="36" spans="1:5" ht="12.75">
      <c r="A36" t="s">
        <v>0</v>
      </c>
      <c r="B36" s="7"/>
      <c r="C36" s="7"/>
      <c r="D36" s="7"/>
      <c r="E36" s="7"/>
    </row>
    <row r="38" ht="12.75">
      <c r="A38" t="s">
        <v>53</v>
      </c>
    </row>
    <row r="39" spans="1:6" ht="12.75">
      <c r="A39" t="s">
        <v>3</v>
      </c>
      <c r="B39" s="7"/>
      <c r="C39" s="7"/>
      <c r="D39" s="7"/>
      <c r="E39" s="7"/>
      <c r="F39" s="10"/>
    </row>
    <row r="40" spans="1:6" ht="12.75">
      <c r="A40" t="s">
        <v>16</v>
      </c>
      <c r="B40" s="7"/>
      <c r="C40" s="7">
        <f>(8064883.61-8256509.06)/8256509.06</f>
        <v>-0.023209015893697834</v>
      </c>
      <c r="D40" s="7">
        <f>(8024922.46-8365640)/8365640</f>
        <v>-0.040728209676725274</v>
      </c>
      <c r="E40" s="7">
        <f>(7832219.25-7920329)/7920329</f>
        <v>-0.01112450631785624</v>
      </c>
      <c r="F40" s="10">
        <f>(7715145.34-7614515)/7614515</f>
        <v>0.013215594164565945</v>
      </c>
    </row>
    <row r="41" spans="2:5" ht="12.75">
      <c r="B41" s="9"/>
      <c r="C41" s="9"/>
      <c r="D41" s="9"/>
      <c r="E41" s="9"/>
    </row>
    <row r="43" ht="12.75">
      <c r="A43" t="s">
        <v>58</v>
      </c>
    </row>
    <row r="44" ht="12.75">
      <c r="A44" t="s">
        <v>31</v>
      </c>
    </row>
    <row r="45" spans="1:6" ht="12.75">
      <c r="A45" t="s">
        <v>11</v>
      </c>
      <c r="B45" s="7"/>
      <c r="C45" s="7">
        <f>6638041.86/7793613.06</f>
        <v>0.8517284356942401</v>
      </c>
      <c r="D45" s="7">
        <f>6516698.29/7816174.45</f>
        <v>0.8337452460519225</v>
      </c>
      <c r="E45" s="7">
        <f>6279563.82/8432366.47</f>
        <v>0.7446976886430317</v>
      </c>
      <c r="F45" s="10">
        <f>5973067.97/7363123.62</f>
        <v>0.8112138649656407</v>
      </c>
    </row>
    <row r="46" spans="2:5" ht="12.75">
      <c r="B46" s="9"/>
      <c r="C46" s="9"/>
      <c r="E46" s="9"/>
    </row>
    <row r="48" ht="12.75">
      <c r="A48" t="s">
        <v>59</v>
      </c>
    </row>
    <row r="49" ht="12.75">
      <c r="A49" t="s">
        <v>31</v>
      </c>
    </row>
    <row r="50" spans="1:6" ht="12.75">
      <c r="A50" t="s">
        <v>12</v>
      </c>
      <c r="B50" s="7"/>
      <c r="C50" s="7">
        <f>1426841.75/7793613.06</f>
        <v>0.1830783410743258</v>
      </c>
      <c r="D50" s="7">
        <f>1508224.17/7816174.45</f>
        <v>0.19296193804886225</v>
      </c>
      <c r="E50" s="7">
        <f>1552655.43/8432366.47</f>
        <v>0.18413044968146408</v>
      </c>
      <c r="F50" s="10">
        <f>1742077.37/7363123.62</f>
        <v>0.2365948828114338</v>
      </c>
    </row>
    <row r="51" spans="2:5" ht="12.75">
      <c r="B51" s="9"/>
      <c r="C51" s="9"/>
      <c r="E51" s="9"/>
    </row>
    <row r="53" ht="12.75">
      <c r="A53" t="s">
        <v>57</v>
      </c>
    </row>
    <row r="54" ht="12.75">
      <c r="A54" t="s">
        <v>50</v>
      </c>
    </row>
    <row r="55" spans="1:6" ht="12.75">
      <c r="A55" t="s">
        <v>7</v>
      </c>
      <c r="B55" s="7"/>
      <c r="C55" s="7">
        <f>81184.18/(4333288.44+3883442.51)</f>
        <v>0.009880350286995828</v>
      </c>
      <c r="D55" s="7">
        <f>-365633.14/(3731019.52+4075406.54)</f>
        <v>-0.04683745637116814</v>
      </c>
      <c r="E55" s="7">
        <f>476825.39/(3575973.48+4901236.69)</f>
        <v>0.05624791416490268</v>
      </c>
      <c r="F55" s="10">
        <f>-152207.36/(3382969.9+4082314.01)</f>
        <v>-0.02038869007997313</v>
      </c>
    </row>
    <row r="56" spans="2:5" ht="12.75">
      <c r="B56" s="9"/>
      <c r="C56" s="9"/>
      <c r="D56" s="9"/>
      <c r="E56" s="9"/>
    </row>
    <row r="58" ht="12.75">
      <c r="A58" t="s">
        <v>60</v>
      </c>
    </row>
    <row r="59" ht="12.75">
      <c r="A59" t="s">
        <v>32</v>
      </c>
    </row>
    <row r="60" spans="1:8" ht="12.75">
      <c r="A60" t="s">
        <v>10</v>
      </c>
      <c r="B60" s="7"/>
      <c r="C60" s="7"/>
      <c r="D60" s="7"/>
      <c r="E60" s="7"/>
      <c r="F60" s="10"/>
      <c r="H60" t="s">
        <v>64</v>
      </c>
    </row>
    <row r="61" spans="1:8" ht="12.75">
      <c r="A61" t="s">
        <v>15</v>
      </c>
      <c r="B61" s="7"/>
      <c r="C61" s="7">
        <f>(2304795.72-469680.66+62092.65+3484.76)/3509713.12</f>
        <v>0.5415520884510355</v>
      </c>
      <c r="D61" s="7">
        <f>(2160748.63-472579.09+69342.5+4199.13)/3562649.02</f>
        <v>0.4944947313389854</v>
      </c>
      <c r="E61" s="7">
        <f>(1517207.27+293015.82)/4326382.09</f>
        <v>0.41841498331461524</v>
      </c>
      <c r="F61" s="10">
        <f>(1461233.72+251767.39)/3494931.72</f>
        <v>0.49013864854561445</v>
      </c>
      <c r="H61" t="s">
        <v>65</v>
      </c>
    </row>
    <row r="62" spans="2:8" ht="12.75">
      <c r="B62" s="9"/>
      <c r="C62" s="9"/>
      <c r="D62" s="9"/>
      <c r="E62" s="9"/>
      <c r="F62" s="13"/>
      <c r="H62" t="s">
        <v>66</v>
      </c>
    </row>
    <row r="63" ht="12.75">
      <c r="H63" t="s">
        <v>67</v>
      </c>
    </row>
    <row r="64" ht="12.75">
      <c r="A64" t="s">
        <v>61</v>
      </c>
    </row>
    <row r="65" spans="1:8" ht="12.75">
      <c r="A65" t="s">
        <v>1</v>
      </c>
      <c r="B65" s="7"/>
      <c r="C65" s="7"/>
      <c r="D65" s="7"/>
      <c r="E65" s="7"/>
      <c r="F65" s="7"/>
      <c r="H65" t="s">
        <v>68</v>
      </c>
    </row>
    <row r="66" spans="1:8" ht="12.75">
      <c r="A66" t="s">
        <v>9</v>
      </c>
      <c r="B66" s="7"/>
      <c r="C66" s="7">
        <f>(151804.04+62092.65+3484.76)/3509713.12</f>
        <v>0.061937099292035586</v>
      </c>
      <c r="D66" s="7">
        <f>(161323.06+4199.13+69342.5)/3562649.02</f>
        <v>0.06592417290659747</v>
      </c>
      <c r="E66" s="7">
        <f>(67755+3047.3+206581.8)/4326382.09</f>
        <v>0.06411456367692203</v>
      </c>
      <c r="F66" s="10">
        <f>(63300+5373.39+152375.76)/3494931.72</f>
        <v>0.06324848887176543</v>
      </c>
      <c r="H66" t="s">
        <v>69</v>
      </c>
    </row>
    <row r="67" ht="12.75">
      <c r="H67" t="s">
        <v>70</v>
      </c>
    </row>
    <row r="68" ht="12.75">
      <c r="A68" t="s">
        <v>54</v>
      </c>
    </row>
    <row r="69" spans="1:8" ht="12.75">
      <c r="A69" t="s">
        <v>2</v>
      </c>
      <c r="B69" s="7"/>
      <c r="C69" s="7"/>
      <c r="D69" s="7"/>
      <c r="E69" s="7"/>
      <c r="F69" s="10"/>
      <c r="H69" t="s">
        <v>25</v>
      </c>
    </row>
    <row r="70" spans="1:8" ht="12.75">
      <c r="A70" t="s">
        <v>17</v>
      </c>
      <c r="B70" s="7"/>
      <c r="C70" s="7">
        <f>(4391255.82-4310071.64)/4310071.64</f>
        <v>0.018835923571794887</v>
      </c>
      <c r="D70" s="7">
        <f>(4278967.88-4644601.02)/4644601.02</f>
        <v>-0.07872218483903286</v>
      </c>
      <c r="E70" s="17">
        <f>(4424068.75-3947243.36)/3947243.36</f>
        <v>0.12079959265546783</v>
      </c>
      <c r="F70" s="7">
        <f>(3756724.49-3908931.85)/3908931.85</f>
        <v>-0.03893835089501493</v>
      </c>
      <c r="H70" t="s">
        <v>62</v>
      </c>
    </row>
    <row r="73" ht="12.75">
      <c r="A73" s="1" t="s">
        <v>27</v>
      </c>
    </row>
    <row r="75" ht="12.75">
      <c r="A75" t="s">
        <v>56</v>
      </c>
    </row>
    <row r="76" spans="1:8" ht="12.75">
      <c r="A76" t="s">
        <v>8</v>
      </c>
      <c r="B76" s="7"/>
      <c r="C76" s="7">
        <f>2432474.02/6823729.84</f>
        <v>0.35647279083956235</v>
      </c>
      <c r="D76" s="7">
        <f>2365002.74/6643970.62</f>
        <v>0.355962251380335</v>
      </c>
      <c r="E76" s="7">
        <f>2826046.34/7250115.09</f>
        <v>0.38979330740527596</v>
      </c>
      <c r="F76" s="10">
        <f>2572230.83/6328955.32</f>
        <v>0.40642265586415927</v>
      </c>
      <c r="H76" t="s">
        <v>43</v>
      </c>
    </row>
    <row r="77" ht="12.75">
      <c r="H77" t="s">
        <v>39</v>
      </c>
    </row>
    <row r="79" spans="1:6" ht="12.75">
      <c r="A79" s="15" t="s">
        <v>24</v>
      </c>
      <c r="B79" s="16"/>
      <c r="C79" s="16">
        <v>81184.18000000001</v>
      </c>
      <c r="D79" s="16">
        <v>-365633.14</v>
      </c>
      <c r="E79" s="16">
        <v>476825.39</v>
      </c>
      <c r="F79" s="16">
        <v>-152207.36000000002</v>
      </c>
    </row>
  </sheetData>
  <sheetProtection/>
  <printOptions horizontalCentered="1"/>
  <pageMargins left="0.75" right="0.75" top="1" bottom="1" header="0.5" footer="0.5"/>
  <pageSetup fitToHeight="1" fitToWidth="1" orientation="portrait" paperSize="9"/>
  <headerFooter>
    <oddFooter>&amp;L&amp;"Arial"&amp;10&amp;Ds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Remboldt</cp:lastModifiedBy>
  <dcterms:modified xsi:type="dcterms:W3CDTF">2010-07-16T17:17:18Z</dcterms:modified>
  <cp:category/>
  <cp:version/>
  <cp:contentType/>
  <cp:contentStatus/>
</cp:coreProperties>
</file>